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<sst xmlns="http://schemas.openxmlformats.org/spreadsheetml/2006/main" count="143" uniqueCount="126">
  <si>
    <t>D=</t>
  </si>
  <si>
    <t>V=</t>
  </si>
  <si>
    <t>Ro=</t>
  </si>
  <si>
    <t>g/m3</t>
  </si>
  <si>
    <t>g/sm3</t>
  </si>
  <si>
    <t>or</t>
  </si>
  <si>
    <t>Gw=</t>
  </si>
  <si>
    <t>mm</t>
  </si>
  <si>
    <t>cm</t>
  </si>
  <si>
    <t>m/s</t>
  </si>
  <si>
    <t>S=</t>
  </si>
  <si>
    <t>cm2</t>
  </si>
  <si>
    <t>g/s</t>
  </si>
  <si>
    <t>g benzine/sec</t>
  </si>
  <si>
    <t>бенин</t>
  </si>
  <si>
    <t>плътност</t>
  </si>
  <si>
    <t>керосин</t>
  </si>
  <si>
    <t>g/cm3</t>
  </si>
  <si>
    <t>g/cm2</t>
  </si>
  <si>
    <t>cm3</t>
  </si>
  <si>
    <t>sec</t>
  </si>
  <si>
    <t>/sec</t>
  </si>
  <si>
    <t>time of flight</t>
  </si>
  <si>
    <t>tank</t>
  </si>
  <si>
    <t>ml</t>
  </si>
  <si>
    <t>air dencity</t>
  </si>
  <si>
    <t xml:space="preserve">капиляр с дължина L и радиус R </t>
  </si>
  <si>
    <t>спрямо наляганията deltaP в двата края</t>
  </si>
  <si>
    <t>(изtичаt X cm3 за t сек.)</t>
  </si>
  <si>
    <t>D</t>
  </si>
  <si>
    <t>R</t>
  </si>
  <si>
    <t>delta P</t>
  </si>
  <si>
    <t>P1</t>
  </si>
  <si>
    <t>P2</t>
  </si>
  <si>
    <t>t</t>
  </si>
  <si>
    <t>L</t>
  </si>
  <si>
    <t>kpd</t>
  </si>
  <si>
    <t>дължина</t>
  </si>
  <si>
    <t xml:space="preserve">коеф. На триене </t>
  </si>
  <si>
    <t>време</t>
  </si>
  <si>
    <t>разлика налягания</t>
  </si>
  <si>
    <t>мм</t>
  </si>
  <si>
    <t>атм?</t>
  </si>
  <si>
    <t>сек</t>
  </si>
  <si>
    <t>пи</t>
  </si>
  <si>
    <t>см</t>
  </si>
  <si>
    <t>кг/мм2</t>
  </si>
  <si>
    <t>височина на шайба</t>
  </si>
  <si>
    <t>За правопоточен двигател зад основния ракетен, количество бензин.</t>
  </si>
  <si>
    <t>http://www.dink.ru/ref/mekgid.php</t>
  </si>
  <si>
    <t>линк</t>
  </si>
  <si>
    <t>формули</t>
  </si>
  <si>
    <t>съотношения гориво=-въздух</t>
  </si>
  <si>
    <t>газ</t>
  </si>
  <si>
    <t>метан</t>
  </si>
  <si>
    <t>пропан</t>
  </si>
  <si>
    <t>от</t>
  </si>
  <si>
    <t>през най</t>
  </si>
  <si>
    <t>до</t>
  </si>
  <si>
    <t>54г/л</t>
  </si>
  <si>
    <t>бутан</t>
  </si>
  <si>
    <t>бензин</t>
  </si>
  <si>
    <t>по обем</t>
  </si>
  <si>
    <t>ацетон</t>
  </si>
  <si>
    <t>5,9/4,5</t>
  </si>
  <si>
    <t>спирт</t>
  </si>
  <si>
    <t>пари</t>
  </si>
  <si>
    <t>% по обем</t>
  </si>
  <si>
    <t>cm3/s</t>
  </si>
  <si>
    <t>air</t>
  </si>
  <si>
    <t>kerosin</t>
  </si>
  <si>
    <t>за керосин при X% към въздуха</t>
  </si>
  <si>
    <t>X</t>
  </si>
  <si>
    <t>%</t>
  </si>
  <si>
    <t>см3/s</t>
  </si>
  <si>
    <t>скорост на изтичане на обем течност през</t>
  </si>
  <si>
    <t>тече вода през дупка.</t>
  </si>
  <si>
    <t>налягане</t>
  </si>
  <si>
    <t>диаметър</t>
  </si>
  <si>
    <t>височина на съда</t>
  </si>
  <si>
    <t>кг/см2</t>
  </si>
  <si>
    <t>площ</t>
  </si>
  <si>
    <t>мм2</t>
  </si>
  <si>
    <t>1кг/см2=10г/мм2</t>
  </si>
  <si>
    <t>г/мм2</t>
  </si>
  <si>
    <t>P*d=Ro*V^/2</t>
  </si>
  <si>
    <t>bernuli</t>
  </si>
  <si>
    <t>2*p*d=Ro*V2</t>
  </si>
  <si>
    <t>V2=2pd/ro</t>
  </si>
  <si>
    <t>v=sqrt (2pd/ro</t>
  </si>
  <si>
    <t>v=sqrt ( 2*p/Ro)</t>
  </si>
  <si>
    <t>плътност на флуида</t>
  </si>
  <si>
    <t>mm3/s</t>
  </si>
  <si>
    <t>скорост на изтичане</t>
  </si>
  <si>
    <t>или</t>
  </si>
  <si>
    <t>g/mm3</t>
  </si>
  <si>
    <t xml:space="preserve">керосин </t>
  </si>
  <si>
    <t>въздух</t>
  </si>
  <si>
    <t>разход въздух</t>
  </si>
  <si>
    <t>при</t>
  </si>
  <si>
    <t>м/сек</t>
  </si>
  <si>
    <t>заборник с диаметър</t>
  </si>
  <si>
    <t xml:space="preserve">г /сек </t>
  </si>
  <si>
    <t>за бензин 1:15</t>
  </si>
  <si>
    <t>1 към</t>
  </si>
  <si>
    <t>мм3/с</t>
  </si>
  <si>
    <t>отношение</t>
  </si>
  <si>
    <t>=</t>
  </si>
  <si>
    <t>м3/с</t>
  </si>
  <si>
    <t>г/сек =</t>
  </si>
  <si>
    <t>м3/сек</t>
  </si>
  <si>
    <t>мм3</t>
  </si>
  <si>
    <t>въздух трябва</t>
  </si>
  <si>
    <t>бензин г</t>
  </si>
  <si>
    <t>:1</t>
  </si>
  <si>
    <t>14.8:1</t>
  </si>
  <si>
    <t>оптимално</t>
  </si>
  <si>
    <t>13.2:1</t>
  </si>
  <si>
    <t>макс.мощ</t>
  </si>
  <si>
    <t>възд/бенз</t>
  </si>
  <si>
    <t>diameter</t>
  </si>
  <si>
    <t>mm3</t>
  </si>
  <si>
    <t>thank</t>
  </si>
  <si>
    <t>volume</t>
  </si>
  <si>
    <t>Sbott</t>
  </si>
  <si>
    <t>mm2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</si>
</sst>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17</xdr:row>
      <xdr:rowOff>38100</xdr:rowOff>
    </xdr:from>
    <xdr:to>
      <xdr:col>6</xdr:col>
      <xdr:colOff>342900</xdr:colOff>
      <xdr:row>20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266950" y="2790825"/>
          <a:ext cx="1733550" cy="523875"/>
        </a:xfrm>
        <a:custGeom>
          <a:pathLst>
            <a:path h="55" w="182">
              <a:moveTo>
                <a:pt x="0" y="55"/>
              </a:moveTo>
              <a:cubicBezTo>
                <a:pt x="55" y="30"/>
                <a:pt x="111" y="6"/>
                <a:pt x="141" y="3"/>
              </a:cubicBezTo>
              <a:cubicBezTo>
                <a:pt x="171" y="0"/>
                <a:pt x="176" y="30"/>
                <a:pt x="182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38100</xdr:rowOff>
    </xdr:from>
    <xdr:to>
      <xdr:col>6</xdr:col>
      <xdr:colOff>438150</xdr:colOff>
      <xdr:row>20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2286000" y="3114675"/>
          <a:ext cx="1809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</xdr:row>
      <xdr:rowOff>85725</xdr:rowOff>
    </xdr:from>
    <xdr:to>
      <xdr:col>10</xdr:col>
      <xdr:colOff>104775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4124325" y="571500"/>
          <a:ext cx="2076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workbookViewId="0" topLeftCell="B1">
      <selection activeCell="F11" sqref="F11"/>
    </sheetView>
  </sheetViews>
  <sheetFormatPr defaultColWidth="9.140625" defaultRowHeight="12.75"/>
  <cols>
    <col min="3" max="3" width="10.00390625" style="0" bestFit="1" customWidth="1"/>
    <col min="10" max="10" width="12.421875" style="0" bestFit="1" customWidth="1"/>
  </cols>
  <sheetData>
    <row r="2" ht="12.75">
      <c r="E2" t="s">
        <v>48</v>
      </c>
    </row>
    <row r="3" ht="12.75">
      <c r="I3" t="s">
        <v>15</v>
      </c>
    </row>
    <row r="4" spans="9:11" ht="12.75">
      <c r="I4" t="s">
        <v>14</v>
      </c>
      <c r="J4" s="1">
        <v>0.76</v>
      </c>
      <c r="K4" t="s">
        <v>17</v>
      </c>
    </row>
    <row r="5" spans="3:11" ht="12.75">
      <c r="C5" t="s">
        <v>115</v>
      </c>
      <c r="D5" t="s">
        <v>116</v>
      </c>
      <c r="F5" t="s">
        <v>106</v>
      </c>
      <c r="I5" t="s">
        <v>16</v>
      </c>
      <c r="J5" s="1">
        <v>0.8</v>
      </c>
      <c r="K5" t="s">
        <v>18</v>
      </c>
    </row>
    <row r="6" spans="3:6" ht="12.75">
      <c r="C6" t="s">
        <v>117</v>
      </c>
      <c r="D6" t="s">
        <v>118</v>
      </c>
      <c r="F6" t="s">
        <v>119</v>
      </c>
    </row>
    <row r="7" spans="5:11" ht="12.75">
      <c r="E7">
        <v>13.8</v>
      </c>
      <c r="F7" t="s">
        <v>114</v>
      </c>
      <c r="H7" t="s">
        <v>25</v>
      </c>
      <c r="I7" t="s">
        <v>2</v>
      </c>
      <c r="J7" s="1">
        <v>1.25</v>
      </c>
      <c r="K7" t="s">
        <v>3</v>
      </c>
    </row>
    <row r="8" spans="5:7" ht="15.75">
      <c r="E8" t="s">
        <v>0</v>
      </c>
      <c r="F8" s="2">
        <v>50</v>
      </c>
      <c r="G8" t="s">
        <v>7</v>
      </c>
    </row>
    <row r="9" spans="6:11" ht="12.75">
      <c r="F9">
        <f>+F8/10</f>
        <v>5</v>
      </c>
      <c r="G9" t="s">
        <v>8</v>
      </c>
      <c r="I9" t="s">
        <v>5</v>
      </c>
      <c r="J9">
        <f>+J7/100000</f>
        <v>1.25E-05</v>
      </c>
      <c r="K9" t="s">
        <v>4</v>
      </c>
    </row>
    <row r="10" spans="5:7" ht="15.75">
      <c r="E10" t="s">
        <v>1</v>
      </c>
      <c r="F10" s="2">
        <v>165</v>
      </c>
      <c r="G10" t="s">
        <v>9</v>
      </c>
    </row>
    <row r="11" spans="9:11" ht="12.75">
      <c r="I11" t="s">
        <v>10</v>
      </c>
      <c r="J11" s="4">
        <f>3.1416*F9^2/4</f>
        <v>19.634999999999998</v>
      </c>
      <c r="K11" t="s">
        <v>11</v>
      </c>
    </row>
    <row r="12" spans="4:10" ht="12.75">
      <c r="D12" t="s">
        <v>6</v>
      </c>
      <c r="F12" s="4">
        <f>+J9*F10^2*J11/2</f>
        <v>3.3410179687499997</v>
      </c>
      <c r="G12" t="s">
        <v>12</v>
      </c>
      <c r="H12" t="s">
        <v>107</v>
      </c>
      <c r="I12" s="4">
        <f>+F12*J7</f>
        <v>4.1762724609375</v>
      </c>
      <c r="J12" t="s">
        <v>108</v>
      </c>
    </row>
    <row r="14" spans="3:7" ht="12.75">
      <c r="C14" t="s">
        <v>61</v>
      </c>
      <c r="E14" s="4">
        <f>+F12/E7</f>
        <v>0.2421027513586956</v>
      </c>
      <c r="G14" t="s">
        <v>13</v>
      </c>
    </row>
    <row r="15" spans="5:10" ht="12.75">
      <c r="E15" s="4">
        <f>+E14/J4</f>
        <v>0.31855625178775737</v>
      </c>
      <c r="G15" t="s">
        <v>19</v>
      </c>
      <c r="H15" t="s">
        <v>21</v>
      </c>
      <c r="J15" t="s">
        <v>75</v>
      </c>
    </row>
    <row r="16" ht="12.75">
      <c r="J16" t="s">
        <v>26</v>
      </c>
    </row>
    <row r="17" ht="12.75">
      <c r="J17" t="s">
        <v>27</v>
      </c>
    </row>
    <row r="18" spans="4:10" ht="15.75">
      <c r="D18" t="s">
        <v>22</v>
      </c>
      <c r="F18" s="2">
        <v>60</v>
      </c>
      <c r="G18" t="s">
        <v>20</v>
      </c>
      <c r="J18" t="s">
        <v>28</v>
      </c>
    </row>
    <row r="20" spans="4:12" ht="12.75">
      <c r="D20" t="s">
        <v>23</v>
      </c>
      <c r="F20" s="4">
        <f>+E15*F18</f>
        <v>19.11337510726544</v>
      </c>
      <c r="G20" t="s">
        <v>24</v>
      </c>
      <c r="J20" t="s">
        <v>29</v>
      </c>
      <c r="K20">
        <v>1</v>
      </c>
      <c r="L20" t="s">
        <v>41</v>
      </c>
    </row>
    <row r="21" spans="10:15" ht="12.75">
      <c r="J21" t="s">
        <v>30</v>
      </c>
      <c r="K21">
        <f>+K20/2</f>
        <v>0.5</v>
      </c>
      <c r="L21" t="s">
        <v>41</v>
      </c>
      <c r="N21">
        <f>+K21/10</f>
        <v>0.05</v>
      </c>
      <c r="O21" t="s">
        <v>45</v>
      </c>
    </row>
    <row r="22" spans="10:15" ht="12.75">
      <c r="J22" t="s">
        <v>32</v>
      </c>
      <c r="K22">
        <v>1</v>
      </c>
      <c r="L22" t="s">
        <v>42</v>
      </c>
      <c r="N22">
        <f>+K22/100</f>
        <v>0.01</v>
      </c>
      <c r="O22" t="s">
        <v>46</v>
      </c>
    </row>
    <row r="23" spans="3:15" ht="12.75">
      <c r="C23" t="s">
        <v>50</v>
      </c>
      <c r="D23" t="s">
        <v>51</v>
      </c>
      <c r="J23" t="s">
        <v>33</v>
      </c>
      <c r="K23">
        <v>1</v>
      </c>
      <c r="N23">
        <f>+K23/100</f>
        <v>0.01</v>
      </c>
      <c r="O23" t="s">
        <v>46</v>
      </c>
    </row>
    <row r="24" spans="3:12" ht="12.75">
      <c r="C24" t="s">
        <v>49</v>
      </c>
      <c r="J24" t="s">
        <v>31</v>
      </c>
      <c r="K24">
        <f>+K22-K23</f>
        <v>0</v>
      </c>
      <c r="L24" t="s">
        <v>40</v>
      </c>
    </row>
    <row r="25" spans="10:13" ht="12.75">
      <c r="J25" t="s">
        <v>34</v>
      </c>
      <c r="K25">
        <v>1</v>
      </c>
      <c r="L25" t="s">
        <v>39</v>
      </c>
      <c r="M25" t="s">
        <v>43</v>
      </c>
    </row>
    <row r="26" spans="8:15" ht="12.75">
      <c r="H26" t="s">
        <v>47</v>
      </c>
      <c r="J26" t="s">
        <v>35</v>
      </c>
      <c r="K26">
        <v>20</v>
      </c>
      <c r="L26" t="s">
        <v>37</v>
      </c>
      <c r="M26" t="s">
        <v>41</v>
      </c>
      <c r="N26">
        <f>+K26/10</f>
        <v>2</v>
      </c>
      <c r="O26" t="s">
        <v>45</v>
      </c>
    </row>
    <row r="27" spans="2:12" ht="15.75">
      <c r="B27" t="s">
        <v>52</v>
      </c>
      <c r="H27" s="3"/>
      <c r="J27" t="s">
        <v>36</v>
      </c>
      <c r="K27">
        <v>0.8</v>
      </c>
      <c r="L27" t="s">
        <v>38</v>
      </c>
    </row>
    <row r="28" spans="8:11" ht="12.75">
      <c r="H28" s="4"/>
      <c r="J28" t="s">
        <v>44</v>
      </c>
      <c r="K28">
        <f>PI()</f>
        <v>3.141592653589793</v>
      </c>
    </row>
    <row r="29" spans="2:5" ht="12.75">
      <c r="B29" t="s">
        <v>53</v>
      </c>
      <c r="C29" t="s">
        <v>56</v>
      </c>
      <c r="D29" t="s">
        <v>57</v>
      </c>
      <c r="E29" t="s">
        <v>58</v>
      </c>
    </row>
    <row r="30" spans="2:12" ht="12.75">
      <c r="B30" t="s">
        <v>54</v>
      </c>
      <c r="C30" t="s">
        <v>59</v>
      </c>
      <c r="K30">
        <f>+K28*K21^4*K24*K25</f>
        <v>0</v>
      </c>
      <c r="L30">
        <f>+K30/100</f>
        <v>0</v>
      </c>
    </row>
    <row r="31" spans="2:10" ht="12.75">
      <c r="B31" t="s">
        <v>55</v>
      </c>
      <c r="C31">
        <v>2.3</v>
      </c>
      <c r="D31">
        <v>4.6</v>
      </c>
      <c r="E31">
        <v>9.5</v>
      </c>
      <c r="J31">
        <f>8*K27*K26</f>
        <v>128</v>
      </c>
    </row>
    <row r="32" spans="2:12" ht="12.75">
      <c r="B32" t="s">
        <v>60</v>
      </c>
      <c r="C32">
        <v>1.9</v>
      </c>
      <c r="D32">
        <v>3.6</v>
      </c>
      <c r="E32">
        <v>8.4</v>
      </c>
      <c r="J32">
        <f>+K30/J31</f>
        <v>0</v>
      </c>
      <c r="L32" t="s">
        <v>74</v>
      </c>
    </row>
    <row r="35" ht="12.75">
      <c r="J35" t="s">
        <v>71</v>
      </c>
    </row>
    <row r="36" spans="10:12" ht="12.75">
      <c r="J36" t="s">
        <v>72</v>
      </c>
      <c r="K36">
        <v>4</v>
      </c>
      <c r="L36" t="s">
        <v>73</v>
      </c>
    </row>
    <row r="37" spans="2:11" ht="12.75">
      <c r="B37" t="s">
        <v>113</v>
      </c>
      <c r="C37">
        <v>1</v>
      </c>
      <c r="D37">
        <v>14.8</v>
      </c>
      <c r="E37">
        <v>13.2</v>
      </c>
      <c r="I37" t="s">
        <v>69</v>
      </c>
      <c r="J37">
        <f>+F12</f>
        <v>3.3410179687499997</v>
      </c>
      <c r="K37" t="s">
        <v>68</v>
      </c>
    </row>
    <row r="38" spans="2:11" ht="12.75">
      <c r="B38" t="s">
        <v>61</v>
      </c>
      <c r="C38">
        <v>2.4</v>
      </c>
      <c r="E38">
        <v>5.1</v>
      </c>
      <c r="F38" t="s">
        <v>67</v>
      </c>
      <c r="I38" t="s">
        <v>70</v>
      </c>
      <c r="J38">
        <f>+J37*K36/100</f>
        <v>0.13364071875</v>
      </c>
      <c r="K38" t="s">
        <v>68</v>
      </c>
    </row>
    <row r="39" spans="2:11" ht="12.75">
      <c r="B39" t="s">
        <v>16</v>
      </c>
      <c r="C39" s="6">
        <v>0.0064</v>
      </c>
      <c r="E39" s="5">
        <v>0.07</v>
      </c>
      <c r="F39" t="s">
        <v>62</v>
      </c>
      <c r="J39">
        <f>+J38*100</f>
        <v>13.364071875</v>
      </c>
      <c r="K39" t="s">
        <v>105</v>
      </c>
    </row>
    <row r="40" spans="2:6" ht="12.75">
      <c r="B40" t="s">
        <v>63</v>
      </c>
      <c r="D40" t="s">
        <v>64</v>
      </c>
      <c r="F40" t="s">
        <v>66</v>
      </c>
    </row>
    <row r="41" spans="2:4" ht="12.75">
      <c r="B41" t="s">
        <v>65</v>
      </c>
      <c r="D41">
        <v>4.5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7"/>
  <sheetViews>
    <sheetView tabSelected="1" workbookViewId="0" topLeftCell="A1">
      <selection activeCell="G8" sqref="G8"/>
    </sheetView>
  </sheetViews>
  <sheetFormatPr defaultColWidth="9.140625" defaultRowHeight="12.75"/>
  <sheetData>
    <row r="2" ht="12.75">
      <c r="M2" t="s">
        <v>122</v>
      </c>
    </row>
    <row r="3" spans="11:13" ht="12.75">
      <c r="K3" t="s">
        <v>120</v>
      </c>
      <c r="M3" t="s">
        <v>123</v>
      </c>
    </row>
    <row r="4" spans="2:15" ht="12.75">
      <c r="B4" t="s">
        <v>85</v>
      </c>
      <c r="G4" t="s">
        <v>76</v>
      </c>
      <c r="K4">
        <v>26</v>
      </c>
      <c r="L4" t="s">
        <v>7</v>
      </c>
      <c r="M4">
        <f>+G6*O5</f>
        <v>31855.823999999997</v>
      </c>
      <c r="N4" t="s">
        <v>121</v>
      </c>
      <c r="O4" t="s">
        <v>124</v>
      </c>
    </row>
    <row r="5" spans="2:15" ht="12.75">
      <c r="B5" t="s">
        <v>86</v>
      </c>
      <c r="M5">
        <f>+M4/1000</f>
        <v>31.855824</v>
      </c>
      <c r="N5" t="s">
        <v>19</v>
      </c>
      <c r="O5">
        <f>+K4*K4*3.1416/4</f>
        <v>530.9304</v>
      </c>
    </row>
    <row r="6" spans="5:15" ht="12.75">
      <c r="E6" t="s">
        <v>79</v>
      </c>
      <c r="G6" s="8">
        <v>60</v>
      </c>
      <c r="H6" t="s">
        <v>41</v>
      </c>
      <c r="K6" t="s">
        <v>83</v>
      </c>
      <c r="O6" t="s">
        <v>125</v>
      </c>
    </row>
    <row r="7" spans="5:12" ht="12.75">
      <c r="E7" t="s">
        <v>77</v>
      </c>
      <c r="G7" s="8">
        <v>0.1</v>
      </c>
      <c r="H7" t="s">
        <v>80</v>
      </c>
      <c r="I7" t="s">
        <v>81</v>
      </c>
      <c r="K7">
        <f>+G7*10</f>
        <v>1</v>
      </c>
      <c r="L7" t="s">
        <v>84</v>
      </c>
    </row>
    <row r="8" spans="5:10" ht="12.75">
      <c r="E8" t="s">
        <v>78</v>
      </c>
      <c r="G8" s="8">
        <v>1</v>
      </c>
      <c r="H8" t="s">
        <v>41</v>
      </c>
      <c r="I8">
        <f>+G8^2/4*PI()</f>
        <v>0.7853981633974483</v>
      </c>
      <c r="J8" t="s">
        <v>82</v>
      </c>
    </row>
    <row r="9" ht="12.75">
      <c r="G9" s="8"/>
    </row>
    <row r="10" spans="5:8" ht="12.75">
      <c r="E10" t="s">
        <v>91</v>
      </c>
      <c r="G10" s="8">
        <v>0.8</v>
      </c>
      <c r="H10" t="s">
        <v>17</v>
      </c>
    </row>
    <row r="11" spans="2:14" ht="12.75">
      <c r="B11" t="s">
        <v>87</v>
      </c>
      <c r="G11">
        <f>+G10/100</f>
        <v>0.008</v>
      </c>
      <c r="H11" t="s">
        <v>95</v>
      </c>
      <c r="L11">
        <f>+G15*100/5</f>
        <v>280.24956081989643</v>
      </c>
      <c r="M11" t="s">
        <v>111</v>
      </c>
      <c r="N11" t="s">
        <v>112</v>
      </c>
    </row>
    <row r="12" ht="12.75">
      <c r="B12" t="s">
        <v>88</v>
      </c>
    </row>
    <row r="13" ht="12.75">
      <c r="B13" t="s">
        <v>89</v>
      </c>
    </row>
    <row r="14" ht="12.75">
      <c r="G14">
        <f>2*K7*I8/G11</f>
        <v>196.34954084936206</v>
      </c>
    </row>
    <row r="15" spans="2:11" ht="12.75">
      <c r="B15" t="s">
        <v>90</v>
      </c>
      <c r="E15" t="s">
        <v>93</v>
      </c>
      <c r="G15">
        <f>+SQRT(G14)</f>
        <v>14.012478040994822</v>
      </c>
      <c r="H15" t="s">
        <v>92</v>
      </c>
      <c r="I15" t="s">
        <v>94</v>
      </c>
      <c r="J15" s="7">
        <f>+G15*G11</f>
        <v>0.11209982432795858</v>
      </c>
      <c r="K15" t="s">
        <v>12</v>
      </c>
    </row>
    <row r="18" spans="2:5" ht="12.75">
      <c r="B18" t="s">
        <v>96</v>
      </c>
      <c r="C18">
        <v>1</v>
      </c>
      <c r="D18">
        <v>7</v>
      </c>
      <c r="E18" t="s">
        <v>67</v>
      </c>
    </row>
    <row r="19" spans="2:7" ht="12.75">
      <c r="B19" t="s">
        <v>97</v>
      </c>
      <c r="F19" t="s">
        <v>106</v>
      </c>
      <c r="G19" s="9" t="s">
        <v>104</v>
      </c>
    </row>
    <row r="20" spans="6:10" ht="12.75">
      <c r="F20" t="s">
        <v>103</v>
      </c>
      <c r="G20">
        <v>10</v>
      </c>
      <c r="H20" s="10">
        <f>+D22/G20</f>
        <v>0.33410179687499997</v>
      </c>
      <c r="I20" t="s">
        <v>102</v>
      </c>
      <c r="J20" t="s">
        <v>61</v>
      </c>
    </row>
    <row r="21" ht="12.75">
      <c r="D21" s="4"/>
    </row>
    <row r="22" spans="2:7" ht="12.75">
      <c r="B22" t="s">
        <v>98</v>
      </c>
      <c r="D22">
        <f>+Sheet1!F12</f>
        <v>3.3410179687499997</v>
      </c>
      <c r="E22" t="s">
        <v>109</v>
      </c>
      <c r="F22">
        <f>+D22/1.26</f>
        <v>2.6516015625</v>
      </c>
      <c r="G22" t="s">
        <v>110</v>
      </c>
    </row>
    <row r="23" ht="12.75">
      <c r="B23" t="s">
        <v>99</v>
      </c>
    </row>
    <row r="24" spans="2:3" ht="12.75">
      <c r="B24">
        <f>+B25</f>
        <v>165</v>
      </c>
      <c r="C24" t="s">
        <v>100</v>
      </c>
    </row>
    <row r="25" ht="12.75">
      <c r="B25">
        <f>+Sheet1!F10</f>
        <v>165</v>
      </c>
    </row>
    <row r="27" spans="2:5" ht="12.75">
      <c r="B27" t="s">
        <v>101</v>
      </c>
      <c r="D27">
        <f>+Sheet1!F8</f>
        <v>50</v>
      </c>
      <c r="E27" t="s">
        <v>41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2007-04-04T08:43:23Z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